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695" windowHeight="5505" activeTab="2"/>
  </bookViews>
  <sheets>
    <sheet name="Ejercicio 1" sheetId="4" r:id="rId1"/>
    <sheet name="Ejercicio 2" sheetId="5" r:id="rId2"/>
    <sheet name="Ejercicio 3" sheetId="8" r:id="rId3"/>
  </sheets>
  <calcPr calcId="145621" iterate="1"/>
</workbook>
</file>

<file path=xl/calcChain.xml><?xml version="1.0" encoding="utf-8"?>
<calcChain xmlns="http://schemas.openxmlformats.org/spreadsheetml/2006/main">
  <c r="E10" i="8" l="1"/>
  <c r="E8" i="8"/>
  <c r="B31" i="5"/>
  <c r="B33" i="5"/>
  <c r="B14" i="5"/>
  <c r="M54" i="5"/>
  <c r="D54" i="5"/>
  <c r="L50" i="5"/>
  <c r="L49" i="5"/>
  <c r="H49" i="5"/>
  <c r="J49" i="5"/>
  <c r="F49" i="5"/>
  <c r="G49" i="5"/>
  <c r="L48" i="5"/>
  <c r="H48" i="5"/>
  <c r="J48" i="5"/>
  <c r="F48" i="5"/>
  <c r="G48" i="5"/>
  <c r="L47" i="5"/>
  <c r="H47" i="5"/>
  <c r="J47" i="5"/>
  <c r="G47" i="5"/>
  <c r="L46" i="5"/>
  <c r="H46" i="5"/>
  <c r="J46" i="5"/>
  <c r="G46" i="5"/>
  <c r="E46" i="5"/>
  <c r="L45" i="5"/>
  <c r="H45" i="5"/>
  <c r="J45" i="5"/>
  <c r="F45" i="5"/>
  <c r="G45" i="5"/>
  <c r="E45" i="5"/>
  <c r="L44" i="5"/>
  <c r="H44" i="5"/>
  <c r="J44" i="5"/>
  <c r="G44" i="5"/>
  <c r="E44" i="5"/>
  <c r="L43" i="5"/>
  <c r="L54" i="5"/>
  <c r="H43" i="5"/>
  <c r="J43" i="5"/>
  <c r="J54" i="5"/>
  <c r="F43" i="5"/>
  <c r="I43" i="5"/>
  <c r="M49" i="5"/>
  <c r="M48" i="5"/>
  <c r="M47" i="5"/>
  <c r="M46" i="5"/>
  <c r="M45" i="5"/>
  <c r="M44" i="5"/>
  <c r="M43" i="5"/>
  <c r="M50" i="5"/>
  <c r="M53" i="5"/>
  <c r="M52" i="5"/>
  <c r="M51" i="5"/>
  <c r="D27" i="5"/>
  <c r="B24" i="5"/>
  <c r="C24" i="5"/>
  <c r="B23" i="5"/>
  <c r="C23" i="5"/>
  <c r="B25" i="5"/>
  <c r="B5" i="5"/>
  <c r="B14" i="4"/>
  <c r="B16" i="4"/>
  <c r="B10" i="4"/>
  <c r="B10" i="5"/>
  <c r="B15" i="5"/>
  <c r="B18" i="5"/>
  <c r="B19" i="5"/>
  <c r="B26" i="5"/>
  <c r="G43" i="5"/>
  <c r="B27" i="5"/>
  <c r="B20" i="5"/>
  <c r="B28" i="5"/>
  <c r="E27" i="5"/>
  <c r="E24" i="5"/>
  <c r="C18" i="5"/>
  <c r="C20" i="5"/>
  <c r="C5" i="5"/>
  <c r="C19" i="5"/>
  <c r="C9" i="5"/>
  <c r="C8" i="5"/>
  <c r="C7" i="5"/>
  <c r="C14" i="5"/>
  <c r="C4" i="5"/>
  <c r="C10" i="5"/>
  <c r="C12" i="5"/>
  <c r="C15" i="5"/>
  <c r="C25" i="5"/>
  <c r="C26" i="5"/>
  <c r="C28" i="5"/>
  <c r="C17" i="5"/>
  <c r="C13" i="5"/>
  <c r="C6" i="5"/>
  <c r="D25" i="5"/>
  <c r="D26" i="5"/>
  <c r="D28" i="5"/>
  <c r="E28" i="5"/>
  <c r="E23" i="5"/>
  <c r="E25" i="5"/>
  <c r="E26" i="5"/>
  <c r="F23" i="5"/>
  <c r="F24" i="5"/>
  <c r="F27" i="5"/>
  <c r="F28" i="5"/>
  <c r="F25" i="5"/>
  <c r="F26" i="5"/>
</calcChain>
</file>

<file path=xl/sharedStrings.xml><?xml version="1.0" encoding="utf-8"?>
<sst xmlns="http://schemas.openxmlformats.org/spreadsheetml/2006/main" count="137" uniqueCount="97">
  <si>
    <t>Cantidad</t>
  </si>
  <si>
    <t>COSTO DEL CAPITAL</t>
  </si>
  <si>
    <r>
      <t>R</t>
    </r>
    <r>
      <rPr>
        <vertAlign val="subscript"/>
        <sz val="11"/>
        <color indexed="8"/>
        <rFont val="Calibri"/>
        <family val="2"/>
      </rPr>
      <t>F</t>
    </r>
  </si>
  <si>
    <t>EMBI</t>
  </si>
  <si>
    <t>MRP</t>
  </si>
  <si>
    <t>D/V</t>
  </si>
  <si>
    <r>
      <t>COV</t>
    </r>
    <r>
      <rPr>
        <vertAlign val="subscript"/>
        <sz val="11"/>
        <color indexed="8"/>
        <rFont val="Calibri"/>
        <family val="2"/>
      </rPr>
      <t>A,M</t>
    </r>
  </si>
  <si>
    <r>
      <t>σ</t>
    </r>
    <r>
      <rPr>
        <vertAlign val="subscript"/>
        <sz val="11"/>
        <color indexed="8"/>
        <rFont val="Calibri"/>
        <family val="2"/>
      </rPr>
      <t>M</t>
    </r>
  </si>
  <si>
    <t>T</t>
  </si>
  <si>
    <t>β</t>
  </si>
  <si>
    <r>
      <t>K</t>
    </r>
    <r>
      <rPr>
        <vertAlign val="subscript"/>
        <sz val="11"/>
        <color indexed="8"/>
        <rFont val="Calibri"/>
        <family val="2"/>
      </rPr>
      <t>d</t>
    </r>
  </si>
  <si>
    <t>Ke</t>
  </si>
  <si>
    <t>WACC = Ke * E/V + Kd * D/V + (1-t)</t>
  </si>
  <si>
    <t>WACC</t>
  </si>
  <si>
    <r>
      <t>K</t>
    </r>
    <r>
      <rPr>
        <vertAlign val="subscript"/>
        <sz val="11"/>
        <color indexed="8"/>
        <rFont val="Calibri"/>
        <family val="2"/>
      </rPr>
      <t>e</t>
    </r>
    <r>
      <rPr>
        <sz val="11"/>
        <rFont val="Arial Narrow"/>
        <family val="2"/>
      </rPr>
      <t xml:space="preserve"> = R</t>
    </r>
    <r>
      <rPr>
        <vertAlign val="subscript"/>
        <sz val="11"/>
        <color indexed="8"/>
        <rFont val="Calibri"/>
        <family val="2"/>
      </rPr>
      <t>F</t>
    </r>
    <r>
      <rPr>
        <sz val="11"/>
        <rFont val="Arial Narrow"/>
        <family val="2"/>
      </rPr>
      <t>+EMBI+ β*(R</t>
    </r>
    <r>
      <rPr>
        <vertAlign val="subscript"/>
        <sz val="11"/>
        <color indexed="8"/>
        <rFont val="Calibri"/>
        <family val="2"/>
      </rPr>
      <t>M</t>
    </r>
    <r>
      <rPr>
        <sz val="11"/>
        <rFont val="Arial Narrow"/>
        <family val="2"/>
      </rPr>
      <t>-R</t>
    </r>
    <r>
      <rPr>
        <vertAlign val="subscript"/>
        <sz val="11"/>
        <color indexed="8"/>
        <rFont val="Calibri"/>
        <family val="2"/>
      </rPr>
      <t>F</t>
    </r>
    <r>
      <rPr>
        <sz val="11"/>
        <rFont val="Arial Narrow"/>
        <family val="2"/>
      </rPr>
      <t>)</t>
    </r>
  </si>
  <si>
    <t>COSTO DE CAPITAL</t>
  </si>
  <si>
    <t>Bethelhem Steel Corporation</t>
  </si>
  <si>
    <t>u$s</t>
  </si>
  <si>
    <t>ACTIVO</t>
  </si>
  <si>
    <t>Caja y bancos</t>
  </si>
  <si>
    <t>Valores negociables</t>
  </si>
  <si>
    <t>Cuentas a cobrar</t>
  </si>
  <si>
    <t>Inventarios</t>
  </si>
  <si>
    <t>Otros activos</t>
  </si>
  <si>
    <t>Planta y equipos</t>
  </si>
  <si>
    <t>Total del activo</t>
  </si>
  <si>
    <t>PASIVO</t>
  </si>
  <si>
    <t>Cuentas a pagar</t>
  </si>
  <si>
    <t>Documentos a pagar</t>
  </si>
  <si>
    <t>Deuda a largo plazo</t>
  </si>
  <si>
    <t>Total del pasivo</t>
  </si>
  <si>
    <t>CAPITAL</t>
  </si>
  <si>
    <t>Capital</t>
  </si>
  <si>
    <t>Ganancias retenidas</t>
  </si>
  <si>
    <t>Total del Capital</t>
  </si>
  <si>
    <t>Total pasivo mas capital</t>
  </si>
  <si>
    <t>Estructura del capital</t>
  </si>
  <si>
    <t>Libros</t>
  </si>
  <si>
    <t>Mercado</t>
  </si>
  <si>
    <t>%Libros</t>
  </si>
  <si>
    <t>Deuda largo plazo</t>
  </si>
  <si>
    <t>Deuda</t>
  </si>
  <si>
    <t>Total</t>
  </si>
  <si>
    <t>DEUDA DE Bethelem Steel Corporation (US$)</t>
  </si>
  <si>
    <t>(u$s)</t>
  </si>
  <si>
    <t>Año 1976</t>
  </si>
  <si>
    <t>Documentos de deuda</t>
  </si>
  <si>
    <t>Fecha</t>
  </si>
  <si>
    <t>Monto</t>
  </si>
  <si>
    <t>Valor venta</t>
  </si>
  <si>
    <t>Cupón</t>
  </si>
  <si>
    <t xml:space="preserve">Ultima </t>
  </si>
  <si>
    <t>Rendimiento</t>
  </si>
  <si>
    <t>Valor de la</t>
  </si>
  <si>
    <t>Maduracion</t>
  </si>
  <si>
    <t>Calificacion</t>
  </si>
  <si>
    <t>Emisión</t>
  </si>
  <si>
    <t>emitido</t>
  </si>
  <si>
    <t>(call price)</t>
  </si>
  <si>
    <t>cotizacion</t>
  </si>
  <si>
    <t>%</t>
  </si>
  <si>
    <t>deuda</t>
  </si>
  <si>
    <t>M</t>
  </si>
  <si>
    <t>Qj</t>
  </si>
  <si>
    <t>Pcall*Qj</t>
  </si>
  <si>
    <t>Debenture 3 ¼s, 1980</t>
  </si>
  <si>
    <t>Aa</t>
  </si>
  <si>
    <t>Debenture 5,40s, 1992</t>
  </si>
  <si>
    <t>Debenture 6,7/8 s, 1999</t>
  </si>
  <si>
    <t>Debenture 9s, 2000</t>
  </si>
  <si>
    <t>Debenture 8,45s, 2005</t>
  </si>
  <si>
    <t>Debenture 8 3/8 s, 2001</t>
  </si>
  <si>
    <t>Deuda subordinada 4 ¼s, 1990</t>
  </si>
  <si>
    <t>A</t>
  </si>
  <si>
    <t>Consolidated Mortgage SF.1979</t>
  </si>
  <si>
    <t>-</t>
  </si>
  <si>
    <t>Notes payable</t>
  </si>
  <si>
    <t>Na</t>
  </si>
  <si>
    <t>Subsidiary debt</t>
  </si>
  <si>
    <t>Revenue bonds 5¼s - 6s, 2002</t>
  </si>
  <si>
    <t>Totales</t>
  </si>
  <si>
    <t>Na: No corresponde</t>
  </si>
  <si>
    <t>M(CPPC)</t>
  </si>
  <si>
    <t>%CPPC</t>
  </si>
  <si>
    <t xml:space="preserve">Tasa de </t>
  </si>
  <si>
    <t>interés(%)</t>
  </si>
  <si>
    <r>
      <t>CPPC = (E/V)*K</t>
    </r>
    <r>
      <rPr>
        <b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+ (D/V)*K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>*(1- t)</t>
    </r>
  </si>
  <si>
    <r>
      <t>K</t>
    </r>
    <r>
      <rPr>
        <b/>
        <vertAlign val="subscript"/>
        <sz val="10"/>
        <rFont val="Arial"/>
        <family val="2"/>
      </rPr>
      <t>E</t>
    </r>
  </si>
  <si>
    <r>
      <t>K</t>
    </r>
    <r>
      <rPr>
        <b/>
        <vertAlign val="subscript"/>
        <sz val="10"/>
        <rFont val="Arial"/>
        <family val="2"/>
      </rPr>
      <t>D</t>
    </r>
  </si>
  <si>
    <t>Candelaria Sa</t>
  </si>
  <si>
    <t>D/E</t>
  </si>
  <si>
    <r>
      <t>R</t>
    </r>
    <r>
      <rPr>
        <vertAlign val="subscript"/>
        <sz val="11"/>
        <rFont val="Arial Narrow"/>
        <family val="2"/>
      </rPr>
      <t>f</t>
    </r>
  </si>
  <si>
    <t>Beta Sweet Sugar</t>
  </si>
  <si>
    <r>
      <t>B</t>
    </r>
    <r>
      <rPr>
        <vertAlign val="subscript"/>
        <sz val="11"/>
        <rFont val="Arial Narrow"/>
        <family val="2"/>
      </rPr>
      <t>unlevered</t>
    </r>
  </si>
  <si>
    <r>
      <t>B</t>
    </r>
    <r>
      <rPr>
        <b/>
        <vertAlign val="subscript"/>
        <sz val="11"/>
        <rFont val="Arial Narrow"/>
        <family val="2"/>
      </rPr>
      <t>candelaria</t>
    </r>
  </si>
  <si>
    <r>
      <t>T</t>
    </r>
    <r>
      <rPr>
        <vertAlign val="subscript"/>
        <sz val="11"/>
        <rFont val="Arial Narrow"/>
        <family val="2"/>
      </rPr>
      <t>cadelaria</t>
    </r>
  </si>
  <si>
    <r>
      <t>T</t>
    </r>
    <r>
      <rPr>
        <vertAlign val="subscript"/>
        <sz val="11"/>
        <rFont val="Arial Narrow"/>
        <family val="2"/>
      </rPr>
      <t>Sweet sugar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</si>
</sst>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0.0%"/>
    <numFmt numFmtId="174" formatCode="0.0"/>
    <numFmt numFmtId="175" formatCode="0.000"/>
    <numFmt numFmtId="183" formatCode="0.0000"/>
  </numFmts>
  <fonts count="23" x14ac:knownFonts="1">
    <font>
      <sz val="10"/>
      <name val="Arial Narrow"/>
    </font>
    <font>
      <sz val="10"/>
      <name val="Arial Narrow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vertAlign val="subscript"/>
      <sz val="11"/>
      <name val="Arial Narrow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name val="Arial Narrow"/>
      <family val="2"/>
    </font>
    <font>
      <b/>
      <sz val="8"/>
      <color indexed="60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2" fontId="4" fillId="0" borderId="0" xfId="0" applyNumberFormat="1" applyFont="1"/>
    <xf numFmtId="183" fontId="4" fillId="0" borderId="0" xfId="0" applyNumberFormat="1" applyFont="1"/>
    <xf numFmtId="0" fontId="21" fillId="0" borderId="0" xfId="0" applyFont="1"/>
    <xf numFmtId="0" fontId="22" fillId="0" borderId="0" xfId="0" applyFont="1"/>
    <xf numFmtId="175" fontId="21" fillId="6" borderId="2" xfId="0" applyNumberFormat="1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175" fontId="21" fillId="7" borderId="2" xfId="0" applyNumberFormat="1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3" fillId="5" borderId="2" xfId="0" applyFont="1" applyFill="1" applyBorder="1"/>
    <xf numFmtId="0" fontId="8" fillId="0" borderId="0" xfId="0" applyFont="1" applyAlignment="1">
      <alignment horizontal="left"/>
    </xf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174" fontId="0" fillId="0" borderId="13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3" fontId="11" fillId="0" borderId="10" xfId="0" applyNumberFormat="1" applyFont="1" applyFill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1" xfId="0" applyFont="1" applyBorder="1"/>
    <xf numFmtId="0" fontId="9" fillId="0" borderId="8" xfId="0" applyFont="1" applyBorder="1"/>
    <xf numFmtId="3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174" fontId="2" fillId="0" borderId="0" xfId="1" applyNumberFormat="1" applyFont="1"/>
    <xf numFmtId="3" fontId="18" fillId="0" borderId="0" xfId="0" applyNumberFormat="1" applyFont="1"/>
    <xf numFmtId="174" fontId="18" fillId="0" borderId="0" xfId="1" applyNumberFormat="1" applyFont="1"/>
    <xf numFmtId="3" fontId="2" fillId="2" borderId="0" xfId="0" applyNumberFormat="1" applyFont="1" applyFill="1"/>
    <xf numFmtId="3" fontId="18" fillId="0" borderId="0" xfId="0" applyNumberFormat="1" applyFont="1" applyFill="1"/>
    <xf numFmtId="0" fontId="19" fillId="0" borderId="0" xfId="0" applyFont="1"/>
    <xf numFmtId="174" fontId="2" fillId="0" borderId="0" xfId="0" applyNumberFormat="1" applyFont="1"/>
    <xf numFmtId="3" fontId="13" fillId="0" borderId="0" xfId="0" applyNumberFormat="1" applyFont="1" applyFill="1"/>
    <xf numFmtId="174" fontId="18" fillId="0" borderId="0" xfId="0" applyNumberFormat="1" applyFont="1"/>
    <xf numFmtId="3" fontId="18" fillId="3" borderId="0" xfId="0" applyNumberFormat="1" applyFont="1" applyFill="1"/>
    <xf numFmtId="0" fontId="18" fillId="4" borderId="14" xfId="0" applyFont="1" applyFill="1" applyBorder="1"/>
    <xf numFmtId="170" fontId="18" fillId="4" borderId="15" xfId="1" applyNumberFormat="1" applyFont="1" applyFill="1" applyBorder="1"/>
    <xf numFmtId="0" fontId="18" fillId="4" borderId="16" xfId="0" applyFont="1" applyFill="1" applyBorder="1"/>
    <xf numFmtId="170" fontId="18" fillId="4" borderId="17" xfId="1" applyNumberFormat="1" applyFont="1" applyFill="1" applyBorder="1"/>
    <xf numFmtId="0" fontId="18" fillId="4" borderId="18" xfId="0" applyFont="1" applyFill="1" applyBorder="1"/>
    <xf numFmtId="9" fontId="18" fillId="4" borderId="19" xfId="1" applyFont="1" applyFill="1" applyBorder="1"/>
    <xf numFmtId="0" fontId="17" fillId="0" borderId="0" xfId="0" applyFont="1"/>
    <xf numFmtId="0" fontId="16" fillId="0" borderId="0" xfId="0" applyFont="1" applyAlignment="1">
      <alignment horizontal="center"/>
    </xf>
    <xf numFmtId="3" fontId="17" fillId="0" borderId="0" xfId="0" applyNumberFormat="1" applyFont="1"/>
    <xf numFmtId="3" fontId="16" fillId="0" borderId="0" xfId="0" applyNumberFormat="1" applyFont="1" applyFill="1" applyBorder="1" applyAlignment="1">
      <alignment horizontal="right"/>
    </xf>
    <xf numFmtId="175" fontId="3" fillId="5" borderId="3" xfId="0" applyNumberFormat="1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2" sqref="C22"/>
    </sheetView>
  </sheetViews>
  <sheetFormatPr baseColWidth="10" defaultRowHeight="16.5" x14ac:dyDescent="0.3"/>
  <cols>
    <col min="1" max="1" width="37.5" style="2" customWidth="1"/>
    <col min="2" max="16384" width="12" style="2"/>
  </cols>
  <sheetData>
    <row r="1" spans="1:3" x14ac:dyDescent="0.3">
      <c r="A1" s="6" t="s">
        <v>1</v>
      </c>
    </row>
    <row r="2" spans="1:3" x14ac:dyDescent="0.3">
      <c r="A2" s="6"/>
    </row>
    <row r="3" spans="1:3" ht="18" x14ac:dyDescent="0.35">
      <c r="A3" s="2" t="s">
        <v>2</v>
      </c>
      <c r="B3" s="2">
        <v>3.2000000000000001E-2</v>
      </c>
    </row>
    <row r="4" spans="1:3" x14ac:dyDescent="0.3">
      <c r="A4" s="2" t="s">
        <v>3</v>
      </c>
      <c r="B4" s="2">
        <v>4.4999999999999998E-2</v>
      </c>
    </row>
    <row r="5" spans="1:3" x14ac:dyDescent="0.3">
      <c r="A5" s="2" t="s">
        <v>4</v>
      </c>
      <c r="B5" s="2">
        <v>6.5000000000000002E-2</v>
      </c>
    </row>
    <row r="6" spans="1:3" x14ac:dyDescent="0.3">
      <c r="A6" s="2" t="s">
        <v>5</v>
      </c>
      <c r="B6" s="3">
        <v>0.4</v>
      </c>
    </row>
    <row r="7" spans="1:3" ht="18" x14ac:dyDescent="0.35">
      <c r="A7" s="2" t="s">
        <v>6</v>
      </c>
      <c r="B7" s="2">
        <v>4.7E-2</v>
      </c>
    </row>
    <row r="8" spans="1:3" ht="18" x14ac:dyDescent="0.35">
      <c r="A8" s="7" t="s">
        <v>7</v>
      </c>
      <c r="B8" s="2">
        <v>3.1300000000000001E-2</v>
      </c>
    </row>
    <row r="9" spans="1:3" x14ac:dyDescent="0.3">
      <c r="A9" s="7" t="s">
        <v>8</v>
      </c>
      <c r="B9" s="3">
        <v>0.35</v>
      </c>
    </row>
    <row r="10" spans="1:3" x14ac:dyDescent="0.3">
      <c r="A10" s="7" t="s">
        <v>9</v>
      </c>
      <c r="B10" s="4">
        <f>B7/B8</f>
        <v>1.5015974440894568</v>
      </c>
    </row>
    <row r="11" spans="1:3" ht="18" x14ac:dyDescent="0.35">
      <c r="A11" s="2" t="s">
        <v>10</v>
      </c>
      <c r="B11" s="4">
        <v>0.09</v>
      </c>
    </row>
    <row r="12" spans="1:3" x14ac:dyDescent="0.3">
      <c r="A12" s="7"/>
      <c r="B12" s="4"/>
    </row>
    <row r="14" spans="1:3" ht="18" x14ac:dyDescent="0.35">
      <c r="A14" s="2" t="s">
        <v>14</v>
      </c>
      <c r="B14" s="8">
        <f>B3+B4+B10*B5</f>
        <v>0.17460383386581468</v>
      </c>
      <c r="C14" s="9" t="s">
        <v>11</v>
      </c>
    </row>
    <row r="16" spans="1:3" x14ac:dyDescent="0.3">
      <c r="A16" s="2" t="s">
        <v>12</v>
      </c>
      <c r="B16" s="10">
        <f>B14*(1-B6)+B11*B6*(1-B9)</f>
        <v>0.1281623003194888</v>
      </c>
      <c r="C16" s="1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baseColWidth="10" defaultRowHeight="12.75" x14ac:dyDescent="0.2"/>
  <cols>
    <col min="1" max="1" width="39.6640625" style="51" customWidth="1"/>
    <col min="2" max="16384" width="12" style="51"/>
  </cols>
  <sheetData>
    <row r="1" spans="1:4" x14ac:dyDescent="0.2">
      <c r="A1" s="50" t="s">
        <v>15</v>
      </c>
    </row>
    <row r="2" spans="1:4" x14ac:dyDescent="0.2">
      <c r="A2" s="52" t="s">
        <v>16</v>
      </c>
      <c r="B2" s="53" t="s">
        <v>17</v>
      </c>
    </row>
    <row r="3" spans="1:4" x14ac:dyDescent="0.2">
      <c r="A3" s="54" t="s">
        <v>18</v>
      </c>
      <c r="B3" s="53"/>
    </row>
    <row r="4" spans="1:4" x14ac:dyDescent="0.2">
      <c r="A4" s="55" t="s">
        <v>19</v>
      </c>
      <c r="B4" s="56">
        <v>45600</v>
      </c>
      <c r="C4" s="57">
        <f t="shared" ref="C4:C10" si="0">(B4/B$20)*100</f>
        <v>0.91047040971168436</v>
      </c>
    </row>
    <row r="5" spans="1:4" x14ac:dyDescent="0.2">
      <c r="A5" s="55" t="s">
        <v>20</v>
      </c>
      <c r="B5" s="56">
        <f>355600+69300</f>
        <v>424900</v>
      </c>
      <c r="C5" s="57">
        <f t="shared" si="0"/>
        <v>8.4837473045283929</v>
      </c>
    </row>
    <row r="6" spans="1:4" x14ac:dyDescent="0.2">
      <c r="A6" s="55" t="s">
        <v>21</v>
      </c>
      <c r="B6" s="56">
        <v>421500</v>
      </c>
      <c r="C6" s="57">
        <f t="shared" si="0"/>
        <v>8.4158613529270827</v>
      </c>
    </row>
    <row r="7" spans="1:4" x14ac:dyDescent="0.2">
      <c r="A7" s="55" t="s">
        <v>22</v>
      </c>
      <c r="B7" s="56">
        <v>834100</v>
      </c>
      <c r="C7" s="57">
        <f t="shared" si="0"/>
        <v>16.654021244309561</v>
      </c>
    </row>
    <row r="8" spans="1:4" x14ac:dyDescent="0.2">
      <c r="A8" s="55" t="s">
        <v>23</v>
      </c>
      <c r="B8" s="56">
        <v>274700</v>
      </c>
      <c r="C8" s="57">
        <f t="shared" si="0"/>
        <v>5.4847855602587652</v>
      </c>
    </row>
    <row r="9" spans="1:4" x14ac:dyDescent="0.2">
      <c r="A9" s="55" t="s">
        <v>24</v>
      </c>
      <c r="B9" s="56">
        <v>3007600</v>
      </c>
      <c r="C9" s="57">
        <f t="shared" si="0"/>
        <v>60.051114128264516</v>
      </c>
    </row>
    <row r="10" spans="1:4" x14ac:dyDescent="0.2">
      <c r="A10" s="54" t="s">
        <v>25</v>
      </c>
      <c r="B10" s="58">
        <f>SUM(B4:B9)</f>
        <v>5008400</v>
      </c>
      <c r="C10" s="59">
        <f t="shared" si="0"/>
        <v>100</v>
      </c>
    </row>
    <row r="11" spans="1:4" x14ac:dyDescent="0.2">
      <c r="A11" s="54" t="s">
        <v>26</v>
      </c>
      <c r="B11" s="58"/>
      <c r="C11" s="57"/>
    </row>
    <row r="12" spans="1:4" x14ac:dyDescent="0.2">
      <c r="A12" s="55" t="s">
        <v>27</v>
      </c>
      <c r="B12" s="56">
        <v>274800</v>
      </c>
      <c r="C12" s="57">
        <f>(B12/B$20)*100</f>
        <v>5.486782205894098</v>
      </c>
    </row>
    <row r="13" spans="1:4" x14ac:dyDescent="0.2">
      <c r="A13" s="55" t="s">
        <v>28</v>
      </c>
      <c r="B13" s="56">
        <v>948600</v>
      </c>
      <c r="C13" s="57">
        <f>(B13/B$20)*100</f>
        <v>18.940180496765436</v>
      </c>
    </row>
    <row r="14" spans="1:4" x14ac:dyDescent="0.2">
      <c r="A14" s="55" t="s">
        <v>29</v>
      </c>
      <c r="B14" s="60">
        <f>+M54</f>
        <v>1090049.5</v>
      </c>
      <c r="C14" s="57">
        <f>(B14/B$20)*100</f>
        <v>21.764425764715277</v>
      </c>
      <c r="D14" s="56"/>
    </row>
    <row r="15" spans="1:4" x14ac:dyDescent="0.2">
      <c r="A15" s="54" t="s">
        <v>30</v>
      </c>
      <c r="B15" s="58">
        <f>SUM(B12:B14)</f>
        <v>2313449.5</v>
      </c>
      <c r="C15" s="59">
        <f>(B15/B$20)*100</f>
        <v>46.191388467374814</v>
      </c>
    </row>
    <row r="16" spans="1:4" x14ac:dyDescent="0.2">
      <c r="A16" s="54" t="s">
        <v>31</v>
      </c>
      <c r="B16" s="58"/>
      <c r="C16" s="57"/>
    </row>
    <row r="17" spans="1:6" x14ac:dyDescent="0.2">
      <c r="A17" s="55" t="s">
        <v>32</v>
      </c>
      <c r="B17" s="56">
        <v>576000</v>
      </c>
      <c r="C17" s="57">
        <f>(B17/B$20)*100</f>
        <v>11.500678859516013</v>
      </c>
    </row>
    <row r="18" spans="1:6" x14ac:dyDescent="0.2">
      <c r="A18" s="55" t="s">
        <v>33</v>
      </c>
      <c r="B18" s="56">
        <f>2185900+1023100-B14</f>
        <v>2118950.5</v>
      </c>
      <c r="C18" s="57">
        <f>(B18/B$20)*100</f>
        <v>42.307932673109178</v>
      </c>
    </row>
    <row r="19" spans="1:6" x14ac:dyDescent="0.2">
      <c r="A19" s="54" t="s">
        <v>34</v>
      </c>
      <c r="B19" s="58">
        <f>SUM(B17:B18)</f>
        <v>2694950.5</v>
      </c>
      <c r="C19" s="59">
        <f>(B19/B$20)*100</f>
        <v>53.808611532625193</v>
      </c>
    </row>
    <row r="20" spans="1:6" x14ac:dyDescent="0.2">
      <c r="A20" s="54" t="s">
        <v>35</v>
      </c>
      <c r="B20" s="61">
        <f>B15+B19</f>
        <v>5008400</v>
      </c>
      <c r="C20" s="59">
        <f>(B20/B$20)*100</f>
        <v>100</v>
      </c>
    </row>
    <row r="21" spans="1:6" x14ac:dyDescent="0.2">
      <c r="A21" s="62"/>
    </row>
    <row r="22" spans="1:6" x14ac:dyDescent="0.2">
      <c r="A22" s="52" t="s">
        <v>36</v>
      </c>
      <c r="B22" s="53" t="s">
        <v>37</v>
      </c>
      <c r="C22" s="53" t="s">
        <v>38</v>
      </c>
      <c r="D22" s="53" t="s">
        <v>82</v>
      </c>
      <c r="E22" s="53" t="s">
        <v>39</v>
      </c>
      <c r="F22" s="53" t="s">
        <v>83</v>
      </c>
    </row>
    <row r="23" spans="1:6" x14ac:dyDescent="0.2">
      <c r="A23" s="55" t="s">
        <v>27</v>
      </c>
      <c r="B23" s="56">
        <f>B12</f>
        <v>274800</v>
      </c>
      <c r="C23" s="56">
        <f>B23</f>
        <v>274800</v>
      </c>
      <c r="D23" s="51">
        <v>0</v>
      </c>
      <c r="E23" s="63">
        <f t="shared" ref="E23:E28" si="1">(B23/B$28)*100</f>
        <v>5.486782205894098</v>
      </c>
      <c r="F23" s="63">
        <f t="shared" ref="F23:F28" si="2">(D23/D$28)*100</f>
        <v>0</v>
      </c>
    </row>
    <row r="24" spans="1:6" x14ac:dyDescent="0.2">
      <c r="A24" s="55" t="s">
        <v>28</v>
      </c>
      <c r="B24" s="56">
        <f>B13</f>
        <v>948600</v>
      </c>
      <c r="C24" s="56">
        <f>B24</f>
        <v>948600</v>
      </c>
      <c r="D24" s="51">
        <v>0</v>
      </c>
      <c r="E24" s="63">
        <f t="shared" si="1"/>
        <v>18.940180496765436</v>
      </c>
      <c r="F24" s="63">
        <f t="shared" si="2"/>
        <v>0</v>
      </c>
    </row>
    <row r="25" spans="1:6" x14ac:dyDescent="0.2">
      <c r="A25" s="55" t="s">
        <v>40</v>
      </c>
      <c r="B25" s="56">
        <f>B14</f>
        <v>1090049.5</v>
      </c>
      <c r="C25" s="64">
        <f>+J54</f>
        <v>871354.25</v>
      </c>
      <c r="D25" s="56">
        <f>C25</f>
        <v>871354.25</v>
      </c>
      <c r="E25" s="63">
        <f t="shared" si="1"/>
        <v>21.764425764715277</v>
      </c>
      <c r="F25" s="63">
        <f t="shared" si="2"/>
        <v>33.092280717711802</v>
      </c>
    </row>
    <row r="26" spans="1:6" x14ac:dyDescent="0.2">
      <c r="A26" s="54" t="s">
        <v>41</v>
      </c>
      <c r="B26" s="58">
        <f>SUM(B23:B25)</f>
        <v>2313449.5</v>
      </c>
      <c r="C26" s="58">
        <f>SUM(C23:C25)</f>
        <v>2094754.25</v>
      </c>
      <c r="D26" s="58">
        <f>SUM(D23:D25)</f>
        <v>871354.25</v>
      </c>
      <c r="E26" s="65">
        <f t="shared" si="1"/>
        <v>46.191388467374814</v>
      </c>
      <c r="F26" s="65">
        <f t="shared" si="2"/>
        <v>33.092280717711802</v>
      </c>
    </row>
    <row r="27" spans="1:6" x14ac:dyDescent="0.2">
      <c r="A27" s="54" t="s">
        <v>32</v>
      </c>
      <c r="B27" s="58">
        <f>B19</f>
        <v>2694950.5</v>
      </c>
      <c r="C27" s="58">
        <v>1761750</v>
      </c>
      <c r="D27" s="56">
        <f>C27</f>
        <v>1761750</v>
      </c>
      <c r="E27" s="65">
        <f t="shared" si="1"/>
        <v>53.808611532625193</v>
      </c>
      <c r="F27" s="65">
        <f t="shared" si="2"/>
        <v>66.907719282288198</v>
      </c>
    </row>
    <row r="28" spans="1:6" x14ac:dyDescent="0.2">
      <c r="A28" s="54" t="s">
        <v>42</v>
      </c>
      <c r="B28" s="66">
        <f>B26+B27</f>
        <v>5008400</v>
      </c>
      <c r="C28" s="66">
        <f>C26+C27</f>
        <v>3856504.25</v>
      </c>
      <c r="D28" s="66">
        <f>D26+D27</f>
        <v>2633104.25</v>
      </c>
      <c r="E28" s="65">
        <f t="shared" si="1"/>
        <v>100</v>
      </c>
      <c r="F28" s="65">
        <f t="shared" si="2"/>
        <v>100</v>
      </c>
    </row>
    <row r="30" spans="1:6" ht="13.5" thickBot="1" x14ac:dyDescent="0.25"/>
    <row r="31" spans="1:6" ht="14.25" x14ac:dyDescent="0.25">
      <c r="A31" s="67" t="s">
        <v>86</v>
      </c>
      <c r="B31" s="68">
        <f>F27/F28*B32+F26/F28*B33</f>
        <v>0.10495220910831769</v>
      </c>
    </row>
    <row r="32" spans="1:6" ht="14.25" x14ac:dyDescent="0.25">
      <c r="A32" s="69" t="s">
        <v>87</v>
      </c>
      <c r="B32" s="70">
        <v>0.13500000000000001</v>
      </c>
    </row>
    <row r="33" spans="1:14" ht="14.25" x14ac:dyDescent="0.25">
      <c r="A33" s="69" t="s">
        <v>88</v>
      </c>
      <c r="B33" s="70">
        <f>8.5%*(1-B34)</f>
        <v>4.4200000000000003E-2</v>
      </c>
    </row>
    <row r="34" spans="1:14" ht="13.5" thickBot="1" x14ac:dyDescent="0.25">
      <c r="A34" s="71" t="s">
        <v>8</v>
      </c>
      <c r="B34" s="72">
        <v>0.48</v>
      </c>
    </row>
    <row r="38" spans="1:14" x14ac:dyDescent="0.2">
      <c r="A38" s="13" t="s">
        <v>43</v>
      </c>
      <c r="B38"/>
      <c r="C38"/>
      <c r="D38"/>
      <c r="E38"/>
      <c r="F38" s="14"/>
      <c r="G38"/>
      <c r="H38"/>
      <c r="I38"/>
      <c r="J38"/>
      <c r="K38"/>
      <c r="L38"/>
    </row>
    <row r="39" spans="1:14" x14ac:dyDescent="0.2">
      <c r="A39" s="15" t="s">
        <v>44</v>
      </c>
      <c r="B39"/>
      <c r="C39"/>
      <c r="D39"/>
      <c r="E39"/>
      <c r="F39"/>
      <c r="G39"/>
      <c r="H39"/>
      <c r="I39"/>
      <c r="J39"/>
      <c r="K39"/>
      <c r="L39"/>
    </row>
    <row r="40" spans="1:14" x14ac:dyDescent="0.2">
      <c r="A40" s="16" t="s">
        <v>45</v>
      </c>
      <c r="B40"/>
      <c r="C40"/>
      <c r="D40"/>
      <c r="E40"/>
      <c r="F40"/>
      <c r="G40"/>
      <c r="H40"/>
      <c r="I40"/>
      <c r="J40"/>
      <c r="K40"/>
      <c r="L40"/>
    </row>
    <row r="41" spans="1:14" x14ac:dyDescent="0.2">
      <c r="A41" s="78" t="s">
        <v>46</v>
      </c>
      <c r="B41" s="17"/>
      <c r="C41" s="18" t="s">
        <v>47</v>
      </c>
      <c r="D41" s="18" t="s">
        <v>48</v>
      </c>
      <c r="E41" s="19" t="s">
        <v>49</v>
      </c>
      <c r="F41" s="18" t="s">
        <v>84</v>
      </c>
      <c r="G41" s="78" t="s">
        <v>50</v>
      </c>
      <c r="H41" s="18" t="s">
        <v>51</v>
      </c>
      <c r="I41" s="20" t="s">
        <v>52</v>
      </c>
      <c r="J41" s="21" t="s">
        <v>53</v>
      </c>
      <c r="K41" s="22" t="s">
        <v>54</v>
      </c>
      <c r="L41" s="23" t="s">
        <v>0</v>
      </c>
      <c r="M41" s="73" t="s">
        <v>49</v>
      </c>
    </row>
    <row r="42" spans="1:14" x14ac:dyDescent="0.2">
      <c r="A42" s="79"/>
      <c r="B42" s="24" t="s">
        <v>55</v>
      </c>
      <c r="C42" s="25" t="s">
        <v>56</v>
      </c>
      <c r="D42" s="25" t="s">
        <v>57</v>
      </c>
      <c r="E42" s="26" t="s">
        <v>58</v>
      </c>
      <c r="F42" s="25" t="s">
        <v>85</v>
      </c>
      <c r="G42" s="79"/>
      <c r="H42" s="25" t="s">
        <v>59</v>
      </c>
      <c r="I42" s="27" t="s">
        <v>60</v>
      </c>
      <c r="J42" s="25" t="s">
        <v>61</v>
      </c>
      <c r="K42" s="22" t="s">
        <v>62</v>
      </c>
      <c r="L42" s="28" t="s">
        <v>63</v>
      </c>
      <c r="M42" s="74" t="s">
        <v>64</v>
      </c>
    </row>
    <row r="43" spans="1:14" x14ac:dyDescent="0.2">
      <c r="A43" s="29" t="s">
        <v>65</v>
      </c>
      <c r="B43" s="30" t="s">
        <v>66</v>
      </c>
      <c r="C43" s="31">
        <v>1955</v>
      </c>
      <c r="D43" s="32">
        <v>3100</v>
      </c>
      <c r="E43" s="33">
        <v>100</v>
      </c>
      <c r="F43" s="31">
        <f>3+1/4</f>
        <v>3.25</v>
      </c>
      <c r="G43" s="34">
        <f>F43*1</f>
        <v>3.25</v>
      </c>
      <c r="H43" s="31">
        <f>89+1/2</f>
        <v>89.5</v>
      </c>
      <c r="I43" s="35">
        <f>(F43/H43)*100</f>
        <v>3.6312849162011176</v>
      </c>
      <c r="J43" s="36">
        <f t="shared" ref="J43:J49" si="3">H43*L43</f>
        <v>2774.5</v>
      </c>
      <c r="K43" s="22">
        <v>25</v>
      </c>
      <c r="L43" s="37">
        <f t="shared" ref="L43:L50" si="4">D43/100</f>
        <v>31</v>
      </c>
      <c r="M43" s="75">
        <f t="shared" ref="M43:M49" si="5">+E43*L43</f>
        <v>3100</v>
      </c>
      <c r="N43" s="75"/>
    </row>
    <row r="44" spans="1:14" x14ac:dyDescent="0.2">
      <c r="A44" s="29" t="s">
        <v>67</v>
      </c>
      <c r="B44" s="30" t="s">
        <v>66</v>
      </c>
      <c r="C44" s="31">
        <v>1967</v>
      </c>
      <c r="D44" s="32">
        <v>109200</v>
      </c>
      <c r="E44" s="33">
        <f>102+1/2</f>
        <v>102.5</v>
      </c>
      <c r="F44" s="31">
        <v>5.4</v>
      </c>
      <c r="G44" s="34">
        <f t="shared" ref="G44:G49" si="6">F44*1</f>
        <v>5.4</v>
      </c>
      <c r="H44" s="31">
        <f>84+3/4</f>
        <v>84.75</v>
      </c>
      <c r="I44" s="38">
        <v>6.4</v>
      </c>
      <c r="J44" s="36">
        <f t="shared" si="3"/>
        <v>92547</v>
      </c>
      <c r="K44" s="22">
        <v>25</v>
      </c>
      <c r="L44" s="37">
        <f t="shared" si="4"/>
        <v>1092</v>
      </c>
      <c r="M44" s="75">
        <f t="shared" si="5"/>
        <v>111930</v>
      </c>
      <c r="N44" s="75"/>
    </row>
    <row r="45" spans="1:14" x14ac:dyDescent="0.2">
      <c r="A45" s="29" t="s">
        <v>68</v>
      </c>
      <c r="B45" s="30" t="s">
        <v>66</v>
      </c>
      <c r="C45" s="31">
        <v>1969</v>
      </c>
      <c r="D45" s="32">
        <v>85800</v>
      </c>
      <c r="E45" s="33">
        <f>104+1/4</f>
        <v>104.25</v>
      </c>
      <c r="F45" s="31">
        <f>6+7/8</f>
        <v>6.875</v>
      </c>
      <c r="G45" s="34">
        <f t="shared" si="6"/>
        <v>6.875</v>
      </c>
      <c r="H45" s="31">
        <f>94+1/4</f>
        <v>94.25</v>
      </c>
      <c r="I45" s="38">
        <v>6.6</v>
      </c>
      <c r="J45" s="36">
        <f t="shared" si="3"/>
        <v>80866.5</v>
      </c>
      <c r="K45" s="22">
        <v>30</v>
      </c>
      <c r="L45" s="37">
        <f t="shared" si="4"/>
        <v>858</v>
      </c>
      <c r="M45" s="75">
        <f t="shared" si="5"/>
        <v>89446.5</v>
      </c>
      <c r="N45" s="75"/>
    </row>
    <row r="46" spans="1:14" x14ac:dyDescent="0.2">
      <c r="A46" s="29" t="s">
        <v>69</v>
      </c>
      <c r="B46" s="30" t="s">
        <v>66</v>
      </c>
      <c r="C46" s="31">
        <v>1970</v>
      </c>
      <c r="D46" s="32">
        <v>144000</v>
      </c>
      <c r="E46" s="33">
        <f>105+1/2</f>
        <v>105.5</v>
      </c>
      <c r="F46" s="31">
        <v>9</v>
      </c>
      <c r="G46" s="34">
        <f t="shared" si="6"/>
        <v>9</v>
      </c>
      <c r="H46" s="31">
        <f>106+1/2</f>
        <v>106.5</v>
      </c>
      <c r="I46" s="38">
        <v>8.5</v>
      </c>
      <c r="J46" s="36">
        <f t="shared" si="3"/>
        <v>153360</v>
      </c>
      <c r="K46" s="22">
        <v>30</v>
      </c>
      <c r="L46" s="37">
        <f t="shared" si="4"/>
        <v>1440</v>
      </c>
      <c r="M46" s="75">
        <f t="shared" si="5"/>
        <v>151920</v>
      </c>
      <c r="N46" s="75"/>
    </row>
    <row r="47" spans="1:14" x14ac:dyDescent="0.2">
      <c r="A47" s="29" t="s">
        <v>70</v>
      </c>
      <c r="B47" s="30" t="s">
        <v>66</v>
      </c>
      <c r="C47" s="31">
        <v>1975</v>
      </c>
      <c r="D47" s="32">
        <v>250000</v>
      </c>
      <c r="E47" s="33">
        <v>107.45</v>
      </c>
      <c r="F47" s="31">
        <v>8.4499999999999993</v>
      </c>
      <c r="G47" s="34">
        <f t="shared" si="6"/>
        <v>8.4499999999999993</v>
      </c>
      <c r="H47" s="31">
        <f>103+1/2</f>
        <v>103.5</v>
      </c>
      <c r="I47" s="38">
        <v>8.1999999999999993</v>
      </c>
      <c r="J47" s="36">
        <f t="shared" si="3"/>
        <v>258750</v>
      </c>
      <c r="K47" s="22">
        <v>30</v>
      </c>
      <c r="L47" s="37">
        <f t="shared" si="4"/>
        <v>2500</v>
      </c>
      <c r="M47" s="75">
        <f t="shared" si="5"/>
        <v>268625</v>
      </c>
      <c r="N47" s="75"/>
    </row>
    <row r="48" spans="1:14" x14ac:dyDescent="0.2">
      <c r="A48" s="29" t="s">
        <v>71</v>
      </c>
      <c r="B48" s="30" t="s">
        <v>66</v>
      </c>
      <c r="C48" s="31">
        <v>1976</v>
      </c>
      <c r="D48" s="32">
        <v>200000</v>
      </c>
      <c r="E48" s="33">
        <v>106.63</v>
      </c>
      <c r="F48" s="31">
        <f>8+3/8</f>
        <v>8.375</v>
      </c>
      <c r="G48" s="34">
        <f t="shared" si="6"/>
        <v>8.375</v>
      </c>
      <c r="H48" s="31">
        <f>105+1/2</f>
        <v>105.5</v>
      </c>
      <c r="I48" s="38">
        <v>7.9</v>
      </c>
      <c r="J48" s="36">
        <f t="shared" si="3"/>
        <v>211000</v>
      </c>
      <c r="K48" s="22">
        <v>25</v>
      </c>
      <c r="L48" s="37">
        <f t="shared" si="4"/>
        <v>2000</v>
      </c>
      <c r="M48" s="75">
        <f t="shared" si="5"/>
        <v>213260</v>
      </c>
      <c r="N48" s="75"/>
    </row>
    <row r="49" spans="1:14" x14ac:dyDescent="0.2">
      <c r="A49" s="29" t="s">
        <v>72</v>
      </c>
      <c r="B49" s="30" t="s">
        <v>73</v>
      </c>
      <c r="C49" s="31">
        <v>1965</v>
      </c>
      <c r="D49" s="32">
        <v>94500</v>
      </c>
      <c r="E49" s="33">
        <v>102.4</v>
      </c>
      <c r="F49" s="31">
        <f>4+1/4</f>
        <v>4.25</v>
      </c>
      <c r="G49" s="34">
        <f t="shared" si="6"/>
        <v>4.25</v>
      </c>
      <c r="H49" s="31">
        <f>76+1/4</f>
        <v>76.25</v>
      </c>
      <c r="I49" s="38">
        <v>5.9</v>
      </c>
      <c r="J49" s="36">
        <f t="shared" si="3"/>
        <v>72056.25</v>
      </c>
      <c r="K49" s="22">
        <v>25</v>
      </c>
      <c r="L49" s="37">
        <f t="shared" si="4"/>
        <v>945</v>
      </c>
      <c r="M49" s="75">
        <f t="shared" si="5"/>
        <v>96768</v>
      </c>
      <c r="N49" s="75"/>
    </row>
    <row r="50" spans="1:14" x14ac:dyDescent="0.2">
      <c r="A50" s="29" t="s">
        <v>74</v>
      </c>
      <c r="B50" s="30" t="s">
        <v>66</v>
      </c>
      <c r="C50" s="31">
        <v>1949</v>
      </c>
      <c r="D50" s="32">
        <v>21800</v>
      </c>
      <c r="E50" s="33">
        <v>100.125</v>
      </c>
      <c r="F50" s="31" t="s">
        <v>75</v>
      </c>
      <c r="G50" s="33" t="s">
        <v>75</v>
      </c>
      <c r="H50" s="31" t="s">
        <v>75</v>
      </c>
      <c r="I50" s="38" t="s">
        <v>75</v>
      </c>
      <c r="J50" s="39" t="s">
        <v>75</v>
      </c>
      <c r="K50" s="22">
        <v>30</v>
      </c>
      <c r="L50" s="37">
        <f t="shared" si="4"/>
        <v>218</v>
      </c>
      <c r="M50" s="75">
        <f>D50</f>
        <v>21800</v>
      </c>
      <c r="N50" s="75"/>
    </row>
    <row r="51" spans="1:14" x14ac:dyDescent="0.2">
      <c r="A51" s="29" t="s">
        <v>76</v>
      </c>
      <c r="B51" s="30" t="s">
        <v>75</v>
      </c>
      <c r="C51" s="31" t="s">
        <v>75</v>
      </c>
      <c r="D51" s="32">
        <v>30000</v>
      </c>
      <c r="E51" s="33" t="s">
        <v>75</v>
      </c>
      <c r="F51" s="31" t="s">
        <v>75</v>
      </c>
      <c r="G51" s="31" t="s">
        <v>75</v>
      </c>
      <c r="H51" s="38" t="s">
        <v>77</v>
      </c>
      <c r="I51" s="38" t="s">
        <v>77</v>
      </c>
      <c r="J51" s="39" t="s">
        <v>75</v>
      </c>
      <c r="K51" s="22"/>
      <c r="L51" s="23"/>
      <c r="M51" s="75">
        <f>D51</f>
        <v>30000</v>
      </c>
    </row>
    <row r="52" spans="1:14" x14ac:dyDescent="0.2">
      <c r="A52" s="29" t="s">
        <v>78</v>
      </c>
      <c r="B52" s="30" t="s">
        <v>75</v>
      </c>
      <c r="C52" s="31" t="s">
        <v>75</v>
      </c>
      <c r="D52" s="32">
        <v>3200</v>
      </c>
      <c r="E52" s="33" t="s">
        <v>75</v>
      </c>
      <c r="F52" s="31" t="s">
        <v>75</v>
      </c>
      <c r="G52" s="31" t="s">
        <v>75</v>
      </c>
      <c r="H52" s="38" t="s">
        <v>77</v>
      </c>
      <c r="I52" s="38" t="s">
        <v>77</v>
      </c>
      <c r="J52" s="39" t="s">
        <v>75</v>
      </c>
      <c r="K52" s="22"/>
      <c r="L52" s="23"/>
      <c r="M52" s="75">
        <f>D52</f>
        <v>3200</v>
      </c>
    </row>
    <row r="53" spans="1:14" x14ac:dyDescent="0.2">
      <c r="A53" s="29" t="s">
        <v>79</v>
      </c>
      <c r="B53" s="30" t="s">
        <v>75</v>
      </c>
      <c r="C53" s="31" t="s">
        <v>75</v>
      </c>
      <c r="D53" s="32">
        <v>100000</v>
      </c>
      <c r="E53" s="33" t="s">
        <v>75</v>
      </c>
      <c r="F53" s="31" t="s">
        <v>75</v>
      </c>
      <c r="G53" s="31" t="s">
        <v>75</v>
      </c>
      <c r="H53" s="38" t="s">
        <v>77</v>
      </c>
      <c r="I53" s="38" t="s">
        <v>77</v>
      </c>
      <c r="J53" s="39" t="s">
        <v>75</v>
      </c>
      <c r="K53" s="22"/>
      <c r="L53" s="23"/>
      <c r="M53" s="75">
        <f>D53</f>
        <v>100000</v>
      </c>
    </row>
    <row r="54" spans="1:14" x14ac:dyDescent="0.2">
      <c r="A54" s="40" t="s">
        <v>80</v>
      </c>
      <c r="B54" s="40"/>
      <c r="C54" s="41"/>
      <c r="D54" s="42">
        <f>SUM(D43:D53)</f>
        <v>1041600</v>
      </c>
      <c r="E54" s="43"/>
      <c r="F54" s="44"/>
      <c r="G54" s="45"/>
      <c r="H54" s="41"/>
      <c r="I54" s="46"/>
      <c r="J54" s="42">
        <f>SUM(J43:J53)</f>
        <v>871354.25</v>
      </c>
      <c r="K54" s="47"/>
      <c r="L54" s="48">
        <f>SUM(L43:L50)</f>
        <v>9084</v>
      </c>
      <c r="M54" s="76">
        <f>SUM(M43:M53)</f>
        <v>1090049.5</v>
      </c>
    </row>
    <row r="55" spans="1:14" x14ac:dyDescent="0.2">
      <c r="A55" t="s">
        <v>81</v>
      </c>
      <c r="B55"/>
      <c r="C55"/>
      <c r="D55"/>
      <c r="E55"/>
      <c r="F55"/>
      <c r="G55"/>
      <c r="H55"/>
      <c r="I55"/>
      <c r="J55"/>
      <c r="K55" s="49"/>
      <c r="L55" s="49"/>
      <c r="M55" s="56"/>
    </row>
    <row r="56" spans="1:14" x14ac:dyDescent="0.2">
      <c r="I56" s="63"/>
    </row>
  </sheetData>
  <mergeCells count="2">
    <mergeCell ref="A41:A42"/>
    <mergeCell ref="G41:G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21" sqref="D21"/>
    </sheetView>
  </sheetViews>
  <sheetFormatPr baseColWidth="10" defaultRowHeight="16.5" x14ac:dyDescent="0.3"/>
  <cols>
    <col min="1" max="1" width="17.33203125" style="2" customWidth="1"/>
    <col min="2" max="16384" width="12" style="2"/>
  </cols>
  <sheetData>
    <row r="1" spans="1:5" x14ac:dyDescent="0.3">
      <c r="A1" s="1" t="s">
        <v>89</v>
      </c>
    </row>
    <row r="3" spans="1:5" x14ac:dyDescent="0.3">
      <c r="A3" s="2" t="s">
        <v>90</v>
      </c>
      <c r="B3" s="2">
        <v>0.4</v>
      </c>
    </row>
    <row r="4" spans="1:5" ht="18" x14ac:dyDescent="0.35">
      <c r="A4" s="2" t="s">
        <v>95</v>
      </c>
      <c r="B4" s="3">
        <v>0.35</v>
      </c>
    </row>
    <row r="5" spans="1:5" ht="18" x14ac:dyDescent="0.35">
      <c r="A5" s="2" t="s">
        <v>91</v>
      </c>
      <c r="B5" s="3">
        <v>0.05</v>
      </c>
    </row>
    <row r="6" spans="1:5" x14ac:dyDescent="0.3">
      <c r="A6" s="2" t="s">
        <v>4</v>
      </c>
      <c r="B6" s="3">
        <v>7.0000000000000007E-2</v>
      </c>
    </row>
    <row r="7" spans="1:5" x14ac:dyDescent="0.3">
      <c r="A7" s="2" t="s">
        <v>92</v>
      </c>
      <c r="B7" s="2">
        <v>0.84</v>
      </c>
    </row>
    <row r="8" spans="1:5" ht="18" x14ac:dyDescent="0.35">
      <c r="A8" s="2" t="s">
        <v>90</v>
      </c>
      <c r="B8" s="2">
        <v>0.24</v>
      </c>
      <c r="D8" s="2" t="s">
        <v>93</v>
      </c>
      <c r="E8" s="5">
        <f>B7/(1+(1-B9)*B8)</f>
        <v>0.73119777158774368</v>
      </c>
    </row>
    <row r="9" spans="1:5" ht="18" x14ac:dyDescent="0.35">
      <c r="A9" s="2" t="s">
        <v>96</v>
      </c>
      <c r="B9" s="3">
        <v>0.38</v>
      </c>
    </row>
    <row r="10" spans="1:5" ht="18" x14ac:dyDescent="0.35">
      <c r="D10" s="12" t="s">
        <v>94</v>
      </c>
      <c r="E10" s="77">
        <f>E8*(1+(1-B4)*B3)</f>
        <v>0.92130919220055707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Marcelo</cp:lastModifiedBy>
  <dcterms:created xsi:type="dcterms:W3CDTF">2013-04-18T02:52:59Z</dcterms:created>
  <dcterms:modified xsi:type="dcterms:W3CDTF">2014-08-18T13:49:36Z</dcterms:modified>
</cp:coreProperties>
</file>